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9690" windowHeight="3315" tabRatio="452" firstSheet="1" activeTab="1"/>
  </bookViews>
  <sheets>
    <sheet name="Commitments" sheetId="1" r:id="rId1"/>
    <sheet name="Payments 2000" sheetId="2" r:id="rId2"/>
  </sheets>
  <definedNames>
    <definedName name="KorUSD">'Commitments'!$F$40</definedName>
    <definedName name="KursKor">'Commitments'!$C$40</definedName>
    <definedName name="KursSredni2000">'Commitments'!$C$38</definedName>
    <definedName name="_xlnm.Print_Area" localSheetId="1">'Payments 2000'!$A$1:$J$43</definedName>
    <definedName name="_xlnm.Print_Titles" localSheetId="1">'Payments 2000'!$5:$8</definedName>
  </definedNames>
  <calcPr fullCalcOnLoad="1"/>
</workbook>
</file>

<file path=xl/sharedStrings.xml><?xml version="1.0" encoding="utf-8"?>
<sst xmlns="http://schemas.openxmlformats.org/spreadsheetml/2006/main" count="134" uniqueCount="64">
  <si>
    <t>Program</t>
  </si>
  <si>
    <t>Alokacja</t>
  </si>
  <si>
    <t>Płatności</t>
  </si>
  <si>
    <t>mln EUR</t>
  </si>
  <si>
    <r>
      <t>Phare 1998,</t>
    </r>
    <r>
      <rPr>
        <sz val="12"/>
        <rFont val="Arial CE"/>
        <family val="2"/>
      </rPr>
      <t xml:space="preserve"> w tym</t>
    </r>
  </si>
  <si>
    <t>Program rozwoju instytucjonalnego administracji</t>
  </si>
  <si>
    <t>Inwestycje w dziedzinie infrastruktury transportowej</t>
  </si>
  <si>
    <t>Inwestycje w dziedzinie ochrony środowiska</t>
  </si>
  <si>
    <t>Program wzmocnienia granicy wschodniej</t>
  </si>
  <si>
    <t>Program współpracy przygranicznej w obszarze Morza Bałtyckiego</t>
  </si>
  <si>
    <t>Program łagodzenia skutków społecznych restrukturyzacji górnictwa i hutnictwa</t>
  </si>
  <si>
    <r>
      <t>Phare 1999</t>
    </r>
    <r>
      <rPr>
        <sz val="12"/>
        <rFont val="Arial CE"/>
        <family val="2"/>
      </rPr>
      <t>, w tym</t>
    </r>
  </si>
  <si>
    <t>Program współpracy przygranicznej</t>
  </si>
  <si>
    <t>Program przygotowania sektora rolnictwa</t>
  </si>
  <si>
    <r>
      <t>Phare 2000</t>
    </r>
    <r>
      <rPr>
        <sz val="12"/>
        <rFont val="Arial CE"/>
        <family val="2"/>
      </rPr>
      <t>, w tym</t>
    </r>
  </si>
  <si>
    <t>Program rozwoju regionalnego i społecznego</t>
  </si>
  <si>
    <t>Pozostałe</t>
  </si>
  <si>
    <r>
      <t>ISPA 2000</t>
    </r>
    <r>
      <rPr>
        <sz val="12"/>
        <rFont val="Arial CE"/>
        <family val="2"/>
      </rPr>
      <t>, w tym</t>
    </r>
  </si>
  <si>
    <t>SAPARD 2000</t>
  </si>
  <si>
    <t>Kurs po korekcie</t>
  </si>
  <si>
    <t>minister właściwy ds.transportu</t>
  </si>
  <si>
    <t>minister właściwy ds.ochrony środowiska</t>
  </si>
  <si>
    <t>minister właściwy ds. administracji publicznej</t>
  </si>
  <si>
    <t>minister właściwy ds. gospodarki</t>
  </si>
  <si>
    <t>Komitet Integracji Europejskiej</t>
  </si>
  <si>
    <t>minister właściwy ds. rozwoju regionalnego</t>
  </si>
  <si>
    <t>Kurs USD</t>
  </si>
  <si>
    <t>Kurs EUR</t>
  </si>
  <si>
    <t xml:space="preserve">ŚRODKI BEZZWROTNE POCHODZĄCE Z ZAGRANICY I WYDATKI NIMI FINANSOWANE </t>
  </si>
  <si>
    <t>Środki bezzwrotne pochodzące z programów pomocy przedakcesyjnej Unii Europejskiej i wydatki nimi finansowane</t>
  </si>
  <si>
    <t>Program modernizacji przemysłu</t>
  </si>
  <si>
    <t>Program rozwoju regionalnego</t>
  </si>
  <si>
    <t>minister właściwy ds. rolnictwa i ds. rozwoju obszarów wiejskich</t>
  </si>
  <si>
    <t>OGÓŁEM ŚRODKI Z UE</t>
  </si>
  <si>
    <t>Przewidywane wydatki do 31.12.2000</t>
  </si>
  <si>
    <t>Organ odpowiedzialny za realizację programu</t>
  </si>
  <si>
    <t>Okres realizacji programu wg umowy międzynarodowej</t>
  </si>
  <si>
    <t>SAPARD 2001</t>
  </si>
  <si>
    <t>2000 - 2002</t>
  </si>
  <si>
    <t>Uczestnictwo w programach wspólnotowych i innych</t>
  </si>
  <si>
    <t>1999 - 2000</t>
  </si>
  <si>
    <t>1999 - 2001</t>
  </si>
  <si>
    <t>1999 -2001</t>
  </si>
  <si>
    <t>1999 - 2003</t>
  </si>
  <si>
    <t>tys. EURO</t>
  </si>
  <si>
    <t>2001 - 2003</t>
  </si>
  <si>
    <t>KBN, ministrowie beneficjenci</t>
  </si>
  <si>
    <t>ministrowie beneficjenci</t>
  </si>
  <si>
    <t>tys. zł*</t>
  </si>
  <si>
    <t>2000 - 2004</t>
  </si>
  <si>
    <t>2000 - 2003</t>
  </si>
  <si>
    <r>
      <t>Phare 1998</t>
    </r>
    <r>
      <rPr>
        <sz val="10"/>
        <rFont val="Arial CE"/>
        <family val="2"/>
      </rPr>
      <t>, w tym:</t>
    </r>
  </si>
  <si>
    <r>
      <t>Phare 1999</t>
    </r>
    <r>
      <rPr>
        <sz val="10"/>
        <rFont val="Arial CE"/>
        <family val="2"/>
      </rPr>
      <t>, w tym:</t>
    </r>
  </si>
  <si>
    <r>
      <t>Phare 2000</t>
    </r>
    <r>
      <rPr>
        <sz val="10"/>
        <rFont val="Arial CE"/>
        <family val="2"/>
      </rPr>
      <t>, w tym:</t>
    </r>
  </si>
  <si>
    <r>
      <t>ISPA</t>
    </r>
    <r>
      <rPr>
        <sz val="10"/>
        <rFont val="Arial CE"/>
        <family val="2"/>
      </rPr>
      <t>, w tym:</t>
    </r>
  </si>
  <si>
    <t>Planowane wydatki w 2001 r.</t>
  </si>
  <si>
    <t>Kwota planowana do wydatkowania po 2001 r.</t>
  </si>
  <si>
    <t>minister właściwy do spraw wewnętrznych</t>
  </si>
  <si>
    <t>* średnioroczna prognoza kursu walutowego PLN/EUR:</t>
  </si>
  <si>
    <t>Limit wydatków w okresie realizacji  wg deklaracji dawcy</t>
  </si>
  <si>
    <t xml:space="preserve">   2000 r.- 4,0110;  2001 r.- 4,2201;  2002 r. - 4,6212</t>
  </si>
  <si>
    <t>Program łagodzenia skutków społecznych restrukturyzacji górnictwa i hutnictwa **</t>
  </si>
  <si>
    <t>** kwota 16.386 tys. euro została uwzględniona w planowanych wydatkach, ze względu na uzyskanie od Komisji Europejskiej zgody na przedłużenie okresu wydatkowania środków</t>
  </si>
  <si>
    <t>Załącznik nr 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</si>
</sst>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"/>
    <numFmt numFmtId="166" formatCode="0.0\ "/>
    <numFmt numFmtId="167" formatCode="0.0"/>
    <numFmt numFmtId="168" formatCode="0.0000"/>
    <numFmt numFmtId="169" formatCode="#,##0.0"/>
  </numFmts>
  <fonts count="5">
    <font>
      <sz val="12"/>
      <name val="Arial CE"/>
      <family val="2"/>
    </font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1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9">
    <xf numFmtId="0" fontId="0" fillId="0" borderId="1" xfId="0" applyAlignment="1">
      <alignment/>
    </xf>
    <xf numFmtId="0" fontId="2" fillId="0" borderId="1" xfId="0" applyFont="1" applyAlignment="1">
      <alignment/>
    </xf>
    <xf numFmtId="0" fontId="0" fillId="0" borderId="1" xfId="0" applyAlignment="1">
      <alignment wrapText="1"/>
    </xf>
    <xf numFmtId="9" fontId="2" fillId="0" borderId="1" xfId="0" applyNumberFormat="1" applyFont="1" applyAlignment="1">
      <alignment/>
    </xf>
    <xf numFmtId="9" fontId="0" fillId="0" borderId="1" xfId="0" applyNumberFormat="1" applyAlignment="1">
      <alignment/>
    </xf>
    <xf numFmtId="0" fontId="0" fillId="0" borderId="1" xfId="0" applyAlignment="1">
      <alignment horizontal="centerContinuous"/>
    </xf>
    <xf numFmtId="168" fontId="0" fillId="0" borderId="1" xfId="0" applyNumberFormat="1" applyAlignment="1">
      <alignment/>
    </xf>
    <xf numFmtId="0" fontId="3" fillId="0" borderId="2" xfId="0" applyFont="1" applyBorder="1" applyAlignment="1">
      <alignment wrapText="1"/>
    </xf>
    <xf numFmtId="166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9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9" fontId="1" fillId="0" borderId="4" xfId="0" applyNumberFormat="1" applyFont="1" applyBorder="1" applyAlignment="1">
      <alignment horizontal="left" vertical="center" wrapText="1"/>
    </xf>
    <xf numFmtId="169" fontId="3" fillId="0" borderId="5" xfId="0" applyNumberFormat="1" applyFont="1" applyBorder="1" applyAlignment="1">
      <alignment horizontal="center"/>
    </xf>
    <xf numFmtId="169" fontId="3" fillId="0" borderId="6" xfId="0" applyNumberFormat="1" applyFont="1" applyBorder="1" applyAlignment="1">
      <alignment horizontal="center" wrapText="1"/>
    </xf>
    <xf numFmtId="16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wrapText="1"/>
    </xf>
    <xf numFmtId="41" fontId="1" fillId="0" borderId="0" xfId="0" applyNumberFormat="1" applyFont="1" applyBorder="1" applyAlignment="1">
      <alignment horizontal="right"/>
    </xf>
    <xf numFmtId="169" fontId="4" fillId="0" borderId="5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169" fontId="1" fillId="0" borderId="5" xfId="0" applyNumberFormat="1" applyFont="1" applyBorder="1" applyAlignment="1">
      <alignment horizontal="left" vertical="center" wrapText="1"/>
    </xf>
    <xf numFmtId="169" fontId="1" fillId="0" borderId="7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169" fontId="3" fillId="0" borderId="5" xfId="0" applyNumberFormat="1" applyFont="1" applyBorder="1" applyAlignment="1">
      <alignment horizontal="center" vertical="center" wrapText="1"/>
    </xf>
    <xf numFmtId="169" fontId="3" fillId="0" borderId="8" xfId="0" applyNumberFormat="1" applyFont="1" applyBorder="1" applyAlignment="1">
      <alignment horizontal="center" vertical="center" wrapText="1"/>
    </xf>
    <xf numFmtId="169" fontId="3" fillId="0" borderId="7" xfId="0" applyNumberFormat="1" applyFont="1" applyBorder="1" applyAlignment="1">
      <alignment horizontal="center" vertical="center" wrapText="1"/>
    </xf>
    <xf numFmtId="169" fontId="1" fillId="0" borderId="9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169" fontId="1" fillId="0" borderId="0" xfId="0" applyNumberFormat="1" applyFont="1" applyBorder="1" applyAlignment="1">
      <alignment horizontal="left" vertical="center" wrapText="1"/>
    </xf>
    <xf numFmtId="169" fontId="1" fillId="0" borderId="6" xfId="0" applyNumberFormat="1" applyFont="1" applyBorder="1" applyAlignment="1">
      <alignment horizontal="left" vertical="center" wrapText="1"/>
    </xf>
    <xf numFmtId="169" fontId="4" fillId="0" borderId="4" xfId="0" applyNumberFormat="1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left" vertical="center" wrapText="1"/>
    </xf>
    <xf numFmtId="169" fontId="4" fillId="0" borderId="10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9" fontId="4" fillId="0" borderId="3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9" fontId="1" fillId="0" borderId="0" xfId="0" applyNumberFormat="1" applyFont="1" applyBorder="1" applyAlignment="1">
      <alignment horizontal="right" vertical="center" wrapText="1"/>
    </xf>
    <xf numFmtId="169" fontId="4" fillId="0" borderId="9" xfId="0" applyNumberFormat="1" applyFont="1" applyBorder="1" applyAlignment="1">
      <alignment horizontal="left" vertical="center" wrapText="1"/>
    </xf>
    <xf numFmtId="169" fontId="1" fillId="0" borderId="2" xfId="0" applyNumberFormat="1" applyFont="1" applyBorder="1" applyAlignment="1">
      <alignment horizontal="left" vertical="center" wrapText="1"/>
    </xf>
    <xf numFmtId="169" fontId="4" fillId="0" borderId="5" xfId="0" applyNumberFormat="1" applyFont="1" applyBorder="1" applyAlignment="1">
      <alignment horizontal="center" vertical="center" wrapText="1"/>
    </xf>
    <xf numFmtId="169" fontId="1" fillId="0" borderId="5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9" fontId="1" fillId="0" borderId="6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9" fontId="3" fillId="0" borderId="0" xfId="0" applyNumberFormat="1" applyFont="1" applyBorder="1" applyAlignment="1">
      <alignment horizontal="left" vertical="center"/>
    </xf>
    <xf numFmtId="169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9" xfId="0" applyNumberFormat="1" applyFont="1" applyBorder="1" applyAlignment="1">
      <alignment horizontal="center" vertical="center" wrapText="1"/>
    </xf>
    <xf numFmtId="169" fontId="3" fillId="0" borderId="13" xfId="0" applyNumberFormat="1" applyFont="1" applyBorder="1" applyAlignment="1">
      <alignment horizontal="center" vertical="center" wrapText="1"/>
    </xf>
    <xf numFmtId="169" fontId="3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5">
      <selection activeCell="B21" sqref="B21"/>
    </sheetView>
  </sheetViews>
  <sheetFormatPr defaultColWidth="8.796875" defaultRowHeight="15"/>
  <cols>
    <col min="1" max="1" width="56.19921875" style="0" customWidth="1"/>
    <col min="2" max="2" width="9.59765625" style="0" customWidth="1"/>
  </cols>
  <sheetData>
    <row r="1" spans="1:6" ht="15">
      <c r="A1" s="5" t="s">
        <v>0</v>
      </c>
      <c r="B1" s="2" t="s">
        <v>1</v>
      </c>
      <c r="C1" s="5" t="s">
        <v>2</v>
      </c>
      <c r="D1" s="5"/>
      <c r="E1" s="5"/>
      <c r="F1" s="5"/>
    </row>
    <row r="2" spans="1:6" ht="15">
      <c r="A2" s="5"/>
      <c r="B2" t="s">
        <v>3</v>
      </c>
      <c r="C2">
        <v>1999</v>
      </c>
      <c r="D2">
        <v>2000</v>
      </c>
      <c r="E2">
        <v>2001</v>
      </c>
      <c r="F2">
        <v>2002</v>
      </c>
    </row>
    <row r="3" spans="1:6" s="1" customFormat="1" ht="15.75">
      <c r="A3" s="1" t="s">
        <v>4</v>
      </c>
      <c r="B3" s="1">
        <f>SUM(B4:B9)</f>
        <v>118.6</v>
      </c>
      <c r="C3" s="3">
        <v>0.2</v>
      </c>
      <c r="D3" s="3">
        <v>0.35</v>
      </c>
      <c r="E3" s="3">
        <v>0.45</v>
      </c>
      <c r="F3" s="3"/>
    </row>
    <row r="4" spans="1:6" ht="15.75">
      <c r="A4" t="s">
        <v>5</v>
      </c>
      <c r="B4">
        <v>22.4</v>
      </c>
      <c r="C4" s="3"/>
      <c r="D4" s="3"/>
      <c r="E4" s="3"/>
      <c r="F4" s="4"/>
    </row>
    <row r="5" spans="1:6" ht="15.75">
      <c r="A5" t="s">
        <v>6</v>
      </c>
      <c r="B5">
        <v>40</v>
      </c>
      <c r="C5" s="3"/>
      <c r="D5" s="3"/>
      <c r="E5" s="3"/>
      <c r="F5" s="4"/>
    </row>
    <row r="6" spans="1:6" ht="15.75">
      <c r="A6" t="s">
        <v>7</v>
      </c>
      <c r="B6">
        <v>9.2</v>
      </c>
      <c r="C6" s="3"/>
      <c r="D6" s="3"/>
      <c r="E6" s="3"/>
      <c r="F6" s="4"/>
    </row>
    <row r="7" spans="1:6" ht="15.75">
      <c r="A7" t="s">
        <v>8</v>
      </c>
      <c r="B7">
        <v>13</v>
      </c>
      <c r="C7" s="3"/>
      <c r="D7" s="3"/>
      <c r="E7" s="3"/>
      <c r="F7" s="4"/>
    </row>
    <row r="8" spans="1:6" ht="15.75">
      <c r="A8" t="s">
        <v>9</v>
      </c>
      <c r="B8">
        <v>4</v>
      </c>
      <c r="C8" s="3"/>
      <c r="D8" s="3"/>
      <c r="E8" s="3"/>
      <c r="F8" s="4"/>
    </row>
    <row r="9" spans="1:6" ht="15.75">
      <c r="A9" t="s">
        <v>10</v>
      </c>
      <c r="B9">
        <v>30</v>
      </c>
      <c r="C9" s="3"/>
      <c r="D9" s="3"/>
      <c r="E9" s="3"/>
      <c r="F9" s="4"/>
    </row>
    <row r="10" spans="3:6" ht="15.75">
      <c r="C10" s="3"/>
      <c r="D10" s="3"/>
      <c r="E10" s="3"/>
      <c r="F10" s="4"/>
    </row>
    <row r="11" spans="1:6" s="1" customFormat="1" ht="15.75">
      <c r="A11" s="1" t="s">
        <v>11</v>
      </c>
      <c r="B11" s="1">
        <f>SUM(B12:B19)</f>
        <v>244.3</v>
      </c>
      <c r="C11" s="3">
        <v>0.2</v>
      </c>
      <c r="D11" s="3">
        <v>0.35</v>
      </c>
      <c r="E11" s="3">
        <v>0.45</v>
      </c>
      <c r="F11" s="3"/>
    </row>
    <row r="12" spans="1:6" ht="15">
      <c r="A12" t="s">
        <v>5</v>
      </c>
      <c r="B12">
        <v>38.8</v>
      </c>
      <c r="C12" s="4"/>
      <c r="D12" s="4"/>
      <c r="E12" s="4"/>
      <c r="F12" s="4"/>
    </row>
    <row r="13" spans="1:6" ht="15">
      <c r="A13" t="s">
        <v>6</v>
      </c>
      <c r="B13">
        <f>20+38+2+4</f>
        <v>64</v>
      </c>
      <c r="C13" s="4"/>
      <c r="D13" s="4"/>
      <c r="E13" s="4"/>
      <c r="F13" s="4"/>
    </row>
    <row r="14" spans="1:6" ht="15">
      <c r="A14" t="s">
        <v>7</v>
      </c>
      <c r="B14">
        <f>8.2+8.1+5+2.9</f>
        <v>24.199999999999996</v>
      </c>
      <c r="C14" s="4"/>
      <c r="D14" s="4"/>
      <c r="E14" s="4"/>
      <c r="F14" s="4"/>
    </row>
    <row r="15" spans="1:6" ht="15">
      <c r="A15" t="s">
        <v>8</v>
      </c>
      <c r="B15">
        <v>17.5</v>
      </c>
      <c r="C15" s="4"/>
      <c r="D15" s="4"/>
      <c r="E15" s="4"/>
      <c r="F15" s="4"/>
    </row>
    <row r="16" spans="1:6" ht="15">
      <c r="A16" t="s">
        <v>12</v>
      </c>
      <c r="B16">
        <v>35</v>
      </c>
      <c r="C16" s="4"/>
      <c r="D16" s="4"/>
      <c r="E16" s="4"/>
      <c r="F16" s="4"/>
    </row>
    <row r="17" spans="1:8" ht="12.75" customHeight="1">
      <c r="A17" s="7" t="s">
        <v>30</v>
      </c>
      <c r="B17">
        <v>31</v>
      </c>
      <c r="C17" s="8"/>
      <c r="D17" s="9"/>
      <c r="E17" s="8"/>
      <c r="F17" s="9"/>
      <c r="G17" s="10"/>
      <c r="H17" s="7" t="s">
        <v>23</v>
      </c>
    </row>
    <row r="18" spans="1:6" ht="15">
      <c r="A18" t="s">
        <v>31</v>
      </c>
      <c r="B18">
        <v>12.15</v>
      </c>
      <c r="C18" s="4"/>
      <c r="D18" s="4"/>
      <c r="E18" s="4"/>
      <c r="F18" s="4"/>
    </row>
    <row r="19" spans="1:6" ht="15">
      <c r="A19" t="s">
        <v>13</v>
      </c>
      <c r="B19">
        <f>5.5+8.15+8</f>
        <v>21.65</v>
      </c>
      <c r="C19" s="4"/>
      <c r="D19" s="4"/>
      <c r="E19" s="4"/>
      <c r="F19" s="4"/>
    </row>
    <row r="20" spans="3:6" ht="15">
      <c r="C20" s="4"/>
      <c r="D20" s="4"/>
      <c r="E20" s="4"/>
      <c r="F20" s="4"/>
    </row>
    <row r="21" spans="1:6" s="1" customFormat="1" ht="15.75">
      <c r="A21" s="1" t="s">
        <v>14</v>
      </c>
      <c r="B21" s="1">
        <v>398</v>
      </c>
      <c r="C21" s="3"/>
      <c r="D21" s="3">
        <v>0.2</v>
      </c>
      <c r="E21" s="3">
        <v>0.35</v>
      </c>
      <c r="F21" s="3">
        <v>0.445</v>
      </c>
    </row>
    <row r="22" spans="1:6" ht="15">
      <c r="A22" t="s">
        <v>5</v>
      </c>
      <c r="B22">
        <f>B21*0.3</f>
        <v>119.39999999999999</v>
      </c>
      <c r="C22" s="4"/>
      <c r="D22" s="4"/>
      <c r="E22" s="4"/>
      <c r="F22" s="4"/>
    </row>
    <row r="23" spans="1:6" ht="15">
      <c r="A23" t="s">
        <v>15</v>
      </c>
      <c r="B23">
        <f>B22*0.5</f>
        <v>59.699999999999996</v>
      </c>
      <c r="C23" s="4"/>
      <c r="D23" s="4"/>
      <c r="E23" s="4"/>
      <c r="F23" s="4"/>
    </row>
    <row r="24" spans="1:6" ht="15">
      <c r="A24" t="s">
        <v>12</v>
      </c>
      <c r="B24">
        <v>40</v>
      </c>
      <c r="C24" s="4"/>
      <c r="D24" s="4"/>
      <c r="E24" s="4"/>
      <c r="F24" s="4"/>
    </row>
    <row r="25" spans="1:6" ht="15">
      <c r="A25" t="s">
        <v>16</v>
      </c>
      <c r="B25">
        <f>B21-B22-B23-B24</f>
        <v>178.90000000000003</v>
      </c>
      <c r="C25" s="4"/>
      <c r="D25" s="4"/>
      <c r="E25" s="4"/>
      <c r="F25" s="4"/>
    </row>
    <row r="26" spans="3:6" ht="15">
      <c r="C26" s="4"/>
      <c r="D26" s="4"/>
      <c r="E26" s="4"/>
      <c r="F26" s="4"/>
    </row>
    <row r="27" spans="1:6" s="1" customFormat="1" ht="15.75">
      <c r="A27" s="1" t="s">
        <v>17</v>
      </c>
      <c r="B27" s="1">
        <f>115.44+115.44+153.92</f>
        <v>384.79999999999995</v>
      </c>
      <c r="C27" s="3"/>
      <c r="D27" s="3">
        <v>0.3</v>
      </c>
      <c r="E27" s="3">
        <v>0.3</v>
      </c>
      <c r="F27" s="3">
        <v>0.4</v>
      </c>
    </row>
    <row r="28" spans="1:6" ht="15">
      <c r="A28" t="s">
        <v>6</v>
      </c>
      <c r="B28">
        <f>0.5*B27</f>
        <v>192.39999999999998</v>
      </c>
      <c r="C28" s="4"/>
      <c r="D28" s="4"/>
      <c r="E28" s="4"/>
      <c r="F28" s="4"/>
    </row>
    <row r="29" spans="1:6" ht="15">
      <c r="A29" t="s">
        <v>7</v>
      </c>
      <c r="B29">
        <f>0.5*B27</f>
        <v>192.39999999999998</v>
      </c>
      <c r="C29" s="4"/>
      <c r="D29" s="4"/>
      <c r="E29" s="4"/>
      <c r="F29" s="4"/>
    </row>
    <row r="30" spans="3:6" ht="15">
      <c r="C30" s="4"/>
      <c r="D30" s="4"/>
      <c r="E30" s="4"/>
      <c r="F30" s="4"/>
    </row>
    <row r="31" spans="1:6" s="1" customFormat="1" ht="15.75">
      <c r="A31" s="1" t="s">
        <v>18</v>
      </c>
      <c r="B31" s="1">
        <v>168.68</v>
      </c>
      <c r="C31" s="3"/>
      <c r="D31" s="3">
        <v>1</v>
      </c>
      <c r="E31" s="3"/>
      <c r="F31" s="3"/>
    </row>
    <row r="33" s="1" customFormat="1" ht="15.75"/>
    <row r="38" spans="2:6" ht="15">
      <c r="B38" t="s">
        <v>27</v>
      </c>
      <c r="C38">
        <v>4.4456</v>
      </c>
      <c r="E38" t="s">
        <v>26</v>
      </c>
      <c r="F38">
        <v>3.9512</v>
      </c>
    </row>
    <row r="40" spans="2:6" ht="15">
      <c r="B40" t="s">
        <v>19</v>
      </c>
      <c r="C40">
        <v>4.6679</v>
      </c>
      <c r="E40" t="s">
        <v>19</v>
      </c>
      <c r="F40" s="6">
        <f>F38*105%</f>
        <v>4.14876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&amp;C&amp;"Arial CE,Pogrubiony"&amp;12Założenia do szacunku wpływów do budżetu państwa  środków bezzwrotnych z UE w roku 2000</oddHeader>
    <oddFooter>&amp;LDepartament Obsługi Funduszy Pomocowych, tel. 37 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showZeros="0" tabSelected="1" workbookViewId="0" topLeftCell="D1">
      <selection activeCell="K2" sqref="K2"/>
    </sheetView>
  </sheetViews>
  <sheetFormatPr defaultColWidth="8.796875" defaultRowHeight="15"/>
  <cols>
    <col min="1" max="1" width="23.69921875" style="40" customWidth="1"/>
    <col min="2" max="2" width="13.19921875" style="21" customWidth="1"/>
    <col min="3" max="3" width="11.3984375" style="21" customWidth="1"/>
    <col min="4" max="4" width="7.796875" style="17" customWidth="1"/>
    <col min="5" max="5" width="7.69921875" style="22" customWidth="1"/>
    <col min="6" max="6" width="8.09765625" style="17" customWidth="1"/>
    <col min="7" max="7" width="7.8984375" style="17" customWidth="1"/>
    <col min="8" max="8" width="8.59765625" style="17" customWidth="1"/>
    <col min="9" max="9" width="10.19921875" style="17" customWidth="1"/>
    <col min="10" max="10" width="16.59765625" style="40" customWidth="1"/>
    <col min="11" max="16384" width="8.796875" style="17" customWidth="1"/>
  </cols>
  <sheetData>
    <row r="1" ht="12.75">
      <c r="J1" s="41" t="s">
        <v>63</v>
      </c>
    </row>
    <row r="2" spans="1:10" ht="12.75">
      <c r="A2" s="33"/>
      <c r="B2" s="11"/>
      <c r="C2" s="11"/>
      <c r="D2" s="16"/>
      <c r="E2" s="16"/>
      <c r="F2" s="16"/>
      <c r="G2" s="16"/>
      <c r="H2" s="16"/>
      <c r="I2" s="16"/>
      <c r="J2" s="41"/>
    </row>
    <row r="3" spans="1:10" ht="24.75" customHeight="1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3.75" customHeight="1">
      <c r="A4" s="32"/>
      <c r="B4" s="12"/>
      <c r="C4" s="12"/>
      <c r="D4" s="12"/>
      <c r="E4" s="12"/>
      <c r="F4" s="12"/>
      <c r="G4" s="12"/>
      <c r="H4" s="12"/>
      <c r="I4" s="12"/>
      <c r="J4" s="32"/>
    </row>
    <row r="5" spans="1:10" ht="19.5" customHeight="1">
      <c r="A5" s="64" t="s">
        <v>29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7.5" customHeight="1">
      <c r="A6" s="32"/>
      <c r="B6" s="12"/>
      <c r="C6" s="12"/>
      <c r="D6" s="12"/>
      <c r="E6" s="12"/>
      <c r="F6" s="12"/>
      <c r="G6" s="12"/>
      <c r="H6" s="12"/>
      <c r="I6" s="12"/>
      <c r="J6" s="32"/>
    </row>
    <row r="7" spans="1:10" s="24" customFormat="1" ht="55.5" customHeight="1">
      <c r="A7" s="27" t="s">
        <v>0</v>
      </c>
      <c r="B7" s="67" t="s">
        <v>36</v>
      </c>
      <c r="C7" s="28" t="s">
        <v>59</v>
      </c>
      <c r="D7" s="65" t="s">
        <v>34</v>
      </c>
      <c r="E7" s="66"/>
      <c r="F7" s="65" t="s">
        <v>55</v>
      </c>
      <c r="G7" s="66"/>
      <c r="H7" s="65" t="s">
        <v>56</v>
      </c>
      <c r="I7" s="66"/>
      <c r="J7" s="29" t="s">
        <v>35</v>
      </c>
    </row>
    <row r="8" spans="1:10" ht="12.75">
      <c r="A8" s="34"/>
      <c r="B8" s="68"/>
      <c r="C8" s="15" t="s">
        <v>44</v>
      </c>
      <c r="D8" s="14" t="s">
        <v>44</v>
      </c>
      <c r="E8" s="14" t="s">
        <v>48</v>
      </c>
      <c r="F8" s="18" t="s">
        <v>44</v>
      </c>
      <c r="G8" s="14" t="s">
        <v>48</v>
      </c>
      <c r="H8" s="14" t="s">
        <v>44</v>
      </c>
      <c r="I8" s="14" t="s">
        <v>48</v>
      </c>
      <c r="J8" s="30"/>
    </row>
    <row r="9" spans="1:10" s="19" customFormat="1" ht="22.5" customHeight="1">
      <c r="A9" s="35" t="s">
        <v>51</v>
      </c>
      <c r="B9" s="44"/>
      <c r="C9" s="49">
        <f aca="true" t="shared" si="0" ref="C9:I9">SUM(C10:C16)</f>
        <v>195190</v>
      </c>
      <c r="D9" s="50">
        <f t="shared" si="0"/>
        <v>98735.117</v>
      </c>
      <c r="E9" s="50">
        <f t="shared" si="0"/>
        <v>396026.554287</v>
      </c>
      <c r="F9" s="50">
        <f t="shared" si="0"/>
        <v>88455.2</v>
      </c>
      <c r="G9" s="50">
        <f t="shared" si="0"/>
        <v>373289.78952</v>
      </c>
      <c r="H9" s="50">
        <f t="shared" si="0"/>
        <v>8000</v>
      </c>
      <c r="I9" s="50">
        <f t="shared" si="0"/>
        <v>36969.6</v>
      </c>
      <c r="J9" s="42"/>
    </row>
    <row r="10" spans="1:10" ht="30" customHeight="1">
      <c r="A10" s="36" t="s">
        <v>5</v>
      </c>
      <c r="B10" s="45" t="s">
        <v>41</v>
      </c>
      <c r="C10" s="51">
        <f>SUM(3000,7457,3000,9000)</f>
        <v>22457</v>
      </c>
      <c r="D10" s="52">
        <f>SUM(77.574,320.8,1061.6,850,32,77.7,361.8,355.7,182.4,175.6,1012.9,64.8,816.6,258.9,1356,76.5,617.7,570,830,595.8,2101.1,243.3,1152)</f>
        <v>13190.774</v>
      </c>
      <c r="E10" s="52">
        <f aca="true" t="shared" si="1" ref="E10:E16">D10*4.011</f>
        <v>52908.194514</v>
      </c>
      <c r="F10" s="52">
        <v>9266.2</v>
      </c>
      <c r="G10" s="52">
        <f aca="true" t="shared" si="2" ref="G10:G15">F10*4.2201</f>
        <v>39104.29062000001</v>
      </c>
      <c r="H10" s="52">
        <v>0</v>
      </c>
      <c r="I10" s="52">
        <f>H10*4.7941</f>
        <v>0</v>
      </c>
      <c r="J10" s="31" t="s">
        <v>24</v>
      </c>
    </row>
    <row r="11" spans="1:10" ht="30" customHeight="1">
      <c r="A11" s="36" t="s">
        <v>6</v>
      </c>
      <c r="B11" s="45" t="s">
        <v>43</v>
      </c>
      <c r="C11" s="51">
        <v>40000</v>
      </c>
      <c r="D11" s="52">
        <f>350+7000</f>
        <v>7350</v>
      </c>
      <c r="E11" s="52">
        <f t="shared" si="1"/>
        <v>29480.850000000002</v>
      </c>
      <c r="F11" s="52">
        <v>24650</v>
      </c>
      <c r="G11" s="52">
        <f t="shared" si="2"/>
        <v>104025.46500000001</v>
      </c>
      <c r="H11" s="52">
        <v>8000</v>
      </c>
      <c r="I11" s="52">
        <f>H11*4.6212</f>
        <v>36969.6</v>
      </c>
      <c r="J11" s="31" t="s">
        <v>20</v>
      </c>
    </row>
    <row r="12" spans="1:10" ht="30" customHeight="1">
      <c r="A12" s="36" t="s">
        <v>7</v>
      </c>
      <c r="B12" s="45" t="s">
        <v>41</v>
      </c>
      <c r="C12" s="51">
        <v>9210</v>
      </c>
      <c r="D12" s="52">
        <v>7917</v>
      </c>
      <c r="E12" s="52">
        <f t="shared" si="1"/>
        <v>31755.087</v>
      </c>
      <c r="F12" s="52">
        <f>C12-D12</f>
        <v>1293</v>
      </c>
      <c r="G12" s="52">
        <f t="shared" si="2"/>
        <v>5456.589300000001</v>
      </c>
      <c r="H12" s="52">
        <v>0</v>
      </c>
      <c r="I12" s="52">
        <f>H12*4.7941</f>
        <v>0</v>
      </c>
      <c r="J12" s="31" t="s">
        <v>21</v>
      </c>
    </row>
    <row r="13" spans="1:10" ht="30" customHeight="1">
      <c r="A13" s="36" t="s">
        <v>8</v>
      </c>
      <c r="B13" s="45" t="s">
        <v>41</v>
      </c>
      <c r="C13" s="51">
        <v>13000</v>
      </c>
      <c r="D13" s="52">
        <v>8600</v>
      </c>
      <c r="E13" s="52">
        <f t="shared" si="1"/>
        <v>34494.6</v>
      </c>
      <c r="F13" s="52">
        <f>C13-D13</f>
        <v>4400</v>
      </c>
      <c r="G13" s="52">
        <f t="shared" si="2"/>
        <v>18568.440000000002</v>
      </c>
      <c r="H13" s="52">
        <v>0</v>
      </c>
      <c r="I13" s="52">
        <f>H13*4.7941</f>
        <v>0</v>
      </c>
      <c r="J13" s="31" t="s">
        <v>57</v>
      </c>
    </row>
    <row r="14" spans="1:10" ht="30" customHeight="1">
      <c r="A14" s="36" t="s">
        <v>12</v>
      </c>
      <c r="B14" s="45" t="s">
        <v>41</v>
      </c>
      <c r="C14" s="51">
        <v>53000</v>
      </c>
      <c r="D14" s="52">
        <f>18340+2200</f>
        <v>20540</v>
      </c>
      <c r="E14" s="52">
        <f t="shared" si="1"/>
        <v>82385.94</v>
      </c>
      <c r="F14" s="52">
        <f>C14-D14</f>
        <v>32460</v>
      </c>
      <c r="G14" s="52">
        <f t="shared" si="2"/>
        <v>136984.44600000003</v>
      </c>
      <c r="H14" s="52">
        <v>0</v>
      </c>
      <c r="I14" s="52">
        <f>H14*4.7941</f>
        <v>0</v>
      </c>
      <c r="J14" s="31" t="s">
        <v>22</v>
      </c>
    </row>
    <row r="15" spans="1:10" ht="39" customHeight="1">
      <c r="A15" s="36" t="s">
        <v>61</v>
      </c>
      <c r="B15" s="45" t="s">
        <v>40</v>
      </c>
      <c r="C15" s="51">
        <v>30000</v>
      </c>
      <c r="D15" s="52">
        <f>9167.343+4447</f>
        <v>13614.343</v>
      </c>
      <c r="E15" s="52">
        <f t="shared" si="1"/>
        <v>54607.12977300001</v>
      </c>
      <c r="F15" s="52">
        <v>16386</v>
      </c>
      <c r="G15" s="52">
        <f t="shared" si="2"/>
        <v>69150.5586</v>
      </c>
      <c r="H15" s="52">
        <v>0</v>
      </c>
      <c r="I15" s="52">
        <f>H15*4.7941</f>
        <v>0</v>
      </c>
      <c r="J15" s="31" t="s">
        <v>23</v>
      </c>
    </row>
    <row r="16" spans="1:10" ht="30" customHeight="1">
      <c r="A16" s="36" t="s">
        <v>39</v>
      </c>
      <c r="B16" s="45" t="s">
        <v>42</v>
      </c>
      <c r="C16" s="51">
        <v>27523</v>
      </c>
      <c r="D16" s="52">
        <v>27523</v>
      </c>
      <c r="E16" s="52">
        <f t="shared" si="1"/>
        <v>110394.753</v>
      </c>
      <c r="F16" s="52">
        <v>0</v>
      </c>
      <c r="G16" s="52">
        <f>F16*4.3795</f>
        <v>0</v>
      </c>
      <c r="H16" s="52"/>
      <c r="I16" s="52">
        <f>H16*4.7941</f>
        <v>0</v>
      </c>
      <c r="J16" s="31" t="s">
        <v>47</v>
      </c>
    </row>
    <row r="17" spans="1:10" s="19" customFormat="1" ht="22.5" customHeight="1">
      <c r="A17" s="37" t="s">
        <v>52</v>
      </c>
      <c r="B17" s="44"/>
      <c r="C17" s="49">
        <f aca="true" t="shared" si="3" ref="C17:I17">SUM(C18:C26)</f>
        <v>302100</v>
      </c>
      <c r="D17" s="50">
        <f t="shared" si="3"/>
        <v>60180.25</v>
      </c>
      <c r="E17" s="50">
        <f t="shared" si="3"/>
        <v>241382.98275000005</v>
      </c>
      <c r="F17" s="50">
        <f t="shared" si="3"/>
        <v>129625.34</v>
      </c>
      <c r="G17" s="50">
        <f t="shared" si="3"/>
        <v>547031.8973340001</v>
      </c>
      <c r="H17" s="50">
        <f t="shared" si="3"/>
        <v>112295.11</v>
      </c>
      <c r="I17" s="50">
        <f t="shared" si="3"/>
        <v>518938.162332</v>
      </c>
      <c r="J17" s="31"/>
    </row>
    <row r="18" spans="1:10" ht="25.5">
      <c r="A18" s="38" t="s">
        <v>5</v>
      </c>
      <c r="B18" s="45" t="s">
        <v>38</v>
      </c>
      <c r="C18" s="51">
        <f>3450+550+2070+430+2000+2000+3000+500+2015+485+3650+350+1500+1866+134+1662+538+2300+400+2000+2000+4500+2000</f>
        <v>39400</v>
      </c>
      <c r="D18" s="52">
        <f>4254+1765+1563.24+1367.01+480+320+455+345</f>
        <v>10549.25</v>
      </c>
      <c r="E18" s="52">
        <f>D18*4.011</f>
        <v>42313.041750000004</v>
      </c>
      <c r="F18" s="52">
        <f>SUM(3660,3440,1910,1150,1182.15,2681.65,2350.5,627.37,500,300,200,200,400,400,200,200,1100,50,850,150)</f>
        <v>21551.67</v>
      </c>
      <c r="G18" s="52">
        <f>F18*4.2201</f>
        <v>90950.202567</v>
      </c>
      <c r="H18" s="52">
        <f>C18-(D18+F18)</f>
        <v>7299.080000000002</v>
      </c>
      <c r="I18" s="52">
        <f aca="true" t="shared" si="4" ref="I18:I25">H18*4.6212</f>
        <v>33730.50849600001</v>
      </c>
      <c r="J18" s="31" t="s">
        <v>24</v>
      </c>
    </row>
    <row r="19" spans="1:10" ht="30" customHeight="1">
      <c r="A19" s="36" t="s">
        <v>6</v>
      </c>
      <c r="B19" s="45" t="s">
        <v>38</v>
      </c>
      <c r="C19" s="51">
        <f>20000+38000+4000+6600</f>
        <v>68600</v>
      </c>
      <c r="D19" s="52">
        <v>3990</v>
      </c>
      <c r="E19" s="52">
        <f aca="true" t="shared" si="5" ref="E19:E26">D19*4.011</f>
        <v>16003.890000000001</v>
      </c>
      <c r="F19" s="52">
        <f>SUM(500,800,4000,4000,1500,1500)</f>
        <v>12300</v>
      </c>
      <c r="G19" s="52">
        <f aca="true" t="shared" si="6" ref="G19:G26">F19*4.2201</f>
        <v>51907.23</v>
      </c>
      <c r="H19" s="52">
        <f aca="true" t="shared" si="7" ref="H19:H26">C19-(D19+F19)</f>
        <v>52310</v>
      </c>
      <c r="I19" s="52">
        <f t="shared" si="4"/>
        <v>241734.972</v>
      </c>
      <c r="J19" s="31" t="s">
        <v>20</v>
      </c>
    </row>
    <row r="20" spans="1:10" ht="30" customHeight="1">
      <c r="A20" s="36" t="s">
        <v>7</v>
      </c>
      <c r="B20" s="45" t="s">
        <v>38</v>
      </c>
      <c r="C20" s="51">
        <f>8200+8100+5000+2900+22500</f>
        <v>46700</v>
      </c>
      <c r="D20" s="52">
        <v>4340</v>
      </c>
      <c r="E20" s="52">
        <f t="shared" si="5"/>
        <v>17407.74</v>
      </c>
      <c r="F20" s="52">
        <f>SUM(2000,2000,1000,1900,1650,1220,1000,1800,1800,400,440,170,830,1330,12890)</f>
        <v>30430</v>
      </c>
      <c r="G20" s="52">
        <f t="shared" si="6"/>
        <v>128417.64300000001</v>
      </c>
      <c r="H20" s="52">
        <f t="shared" si="7"/>
        <v>11930</v>
      </c>
      <c r="I20" s="52">
        <f t="shared" si="4"/>
        <v>55130.916</v>
      </c>
      <c r="J20" s="31" t="s">
        <v>21</v>
      </c>
    </row>
    <row r="21" spans="1:10" ht="34.5" customHeight="1">
      <c r="A21" s="36" t="s">
        <v>8</v>
      </c>
      <c r="B21" s="45" t="s">
        <v>38</v>
      </c>
      <c r="C21" s="51">
        <f>12170+5330</f>
        <v>17500</v>
      </c>
      <c r="D21" s="52">
        <v>2500</v>
      </c>
      <c r="E21" s="52">
        <f t="shared" si="5"/>
        <v>10027.5</v>
      </c>
      <c r="F21" s="52">
        <f>SUM(4000,4000,2000,2000)</f>
        <v>12000</v>
      </c>
      <c r="G21" s="52">
        <f t="shared" si="6"/>
        <v>50641.200000000004</v>
      </c>
      <c r="H21" s="52">
        <f t="shared" si="7"/>
        <v>3000</v>
      </c>
      <c r="I21" s="52">
        <f t="shared" si="4"/>
        <v>13863.6</v>
      </c>
      <c r="J21" s="31" t="s">
        <v>57</v>
      </c>
    </row>
    <row r="22" spans="1:10" ht="33.75" customHeight="1">
      <c r="A22" s="36" t="s">
        <v>12</v>
      </c>
      <c r="B22" s="45" t="s">
        <v>38</v>
      </c>
      <c r="C22" s="51">
        <f>2600+15450+12300+4200+2000+400+50+1000</f>
        <v>38000</v>
      </c>
      <c r="D22" s="52">
        <f>200+2900.3+620</f>
        <v>3720.3</v>
      </c>
      <c r="E22" s="52">
        <f t="shared" si="5"/>
        <v>14922.123300000001</v>
      </c>
      <c r="F22" s="52">
        <f>SUM(2280,20156.4,1550)</f>
        <v>23986.4</v>
      </c>
      <c r="G22" s="52">
        <f t="shared" si="6"/>
        <v>101225.00664000002</v>
      </c>
      <c r="H22" s="52">
        <v>10294</v>
      </c>
      <c r="I22" s="52">
        <f t="shared" si="4"/>
        <v>47570.6328</v>
      </c>
      <c r="J22" s="31" t="s">
        <v>22</v>
      </c>
    </row>
    <row r="23" spans="1:10" ht="30.75" customHeight="1">
      <c r="A23" s="36" t="s">
        <v>30</v>
      </c>
      <c r="B23" s="45" t="s">
        <v>38</v>
      </c>
      <c r="C23" s="51">
        <v>31000</v>
      </c>
      <c r="D23" s="52">
        <f>4500+599.5+977.5+3410</f>
        <v>9487</v>
      </c>
      <c r="E23" s="52">
        <f t="shared" si="5"/>
        <v>38052.357</v>
      </c>
      <c r="F23" s="52">
        <f>SUM(1790,3070,6460,2205)</f>
        <v>13525</v>
      </c>
      <c r="G23" s="52">
        <f t="shared" si="6"/>
        <v>57076.85250000001</v>
      </c>
      <c r="H23" s="52">
        <f t="shared" si="7"/>
        <v>7988</v>
      </c>
      <c r="I23" s="52">
        <f t="shared" si="4"/>
        <v>36914.145599999996</v>
      </c>
      <c r="J23" s="31" t="s">
        <v>23</v>
      </c>
    </row>
    <row r="24" spans="1:10" ht="35.25" customHeight="1">
      <c r="A24" s="36" t="s">
        <v>31</v>
      </c>
      <c r="B24" s="45" t="s">
        <v>38</v>
      </c>
      <c r="C24" s="51">
        <v>12150</v>
      </c>
      <c r="D24" s="52">
        <f>4500+2055</f>
        <v>6555</v>
      </c>
      <c r="E24" s="52">
        <f t="shared" si="5"/>
        <v>26292.105</v>
      </c>
      <c r="F24" s="52">
        <f>SUM(1540,1527.5,152.5,200)</f>
        <v>3420</v>
      </c>
      <c r="G24" s="52">
        <f t="shared" si="6"/>
        <v>14432.742000000002</v>
      </c>
      <c r="H24" s="52">
        <f t="shared" si="7"/>
        <v>2175</v>
      </c>
      <c r="I24" s="52">
        <f t="shared" si="4"/>
        <v>10051.11</v>
      </c>
      <c r="J24" s="31" t="s">
        <v>25</v>
      </c>
    </row>
    <row r="25" spans="1:10" ht="44.25" customHeight="1">
      <c r="A25" s="36" t="s">
        <v>13</v>
      </c>
      <c r="B25" s="45" t="s">
        <v>38</v>
      </c>
      <c r="C25" s="51">
        <f>3410+7500+8000+2600+2090+650+3300</f>
        <v>27550</v>
      </c>
      <c r="D25" s="52">
        <f>4559.5+7694.8+4178.2+178.2+178</f>
        <v>16788.7</v>
      </c>
      <c r="E25" s="52">
        <f t="shared" si="5"/>
        <v>67339.47570000001</v>
      </c>
      <c r="F25" s="52">
        <f>SUM(814.6,4982.6,2178.6,1658.6)</f>
        <v>9634.400000000001</v>
      </c>
      <c r="G25" s="52">
        <f t="shared" si="6"/>
        <v>40658.13144000001</v>
      </c>
      <c r="H25" s="52">
        <f t="shared" si="7"/>
        <v>1126.8999999999978</v>
      </c>
      <c r="I25" s="52">
        <f t="shared" si="4"/>
        <v>5207.63027999999</v>
      </c>
      <c r="J25" s="31" t="s">
        <v>32</v>
      </c>
    </row>
    <row r="26" spans="1:10" ht="36" customHeight="1">
      <c r="A26" s="36" t="s">
        <v>39</v>
      </c>
      <c r="B26" s="46"/>
      <c r="C26" s="53">
        <f>10000+5000+100+2000+4100</f>
        <v>21200</v>
      </c>
      <c r="D26" s="53">
        <f>908.6+491.4+850</f>
        <v>2250</v>
      </c>
      <c r="E26" s="52">
        <f t="shared" si="5"/>
        <v>9024.75</v>
      </c>
      <c r="F26" s="53">
        <f>SUM(390.71,429.71,416.74,390.71,1150)</f>
        <v>2777.87</v>
      </c>
      <c r="G26" s="52">
        <f t="shared" si="6"/>
        <v>11722.889187</v>
      </c>
      <c r="H26" s="53">
        <f t="shared" si="7"/>
        <v>16172.130000000001</v>
      </c>
      <c r="I26" s="52">
        <f>H26*4.6212</f>
        <v>74734.647156</v>
      </c>
      <c r="J26" s="25" t="s">
        <v>46</v>
      </c>
    </row>
    <row r="27" spans="1:10" s="19" customFormat="1" ht="22.5" customHeight="1">
      <c r="A27" s="23" t="s">
        <v>53</v>
      </c>
      <c r="B27" s="44"/>
      <c r="C27" s="50">
        <f aca="true" t="shared" si="8" ref="C27:I27">SUM(C28:C33)</f>
        <v>398892</v>
      </c>
      <c r="D27" s="50">
        <f t="shared" si="8"/>
        <v>0</v>
      </c>
      <c r="E27" s="50">
        <f t="shared" si="8"/>
        <v>0</v>
      </c>
      <c r="F27" s="50">
        <f t="shared" si="8"/>
        <v>119667.6</v>
      </c>
      <c r="G27" s="50">
        <f t="shared" si="8"/>
        <v>505009.23876000004</v>
      </c>
      <c r="H27" s="50">
        <f t="shared" si="8"/>
        <v>279224.4</v>
      </c>
      <c r="I27" s="50">
        <f t="shared" si="8"/>
        <v>1290351.79728</v>
      </c>
      <c r="J27" s="25"/>
    </row>
    <row r="28" spans="1:10" ht="25.5">
      <c r="A28" s="36" t="s">
        <v>5</v>
      </c>
      <c r="B28" s="45" t="s">
        <v>45</v>
      </c>
      <c r="C28" s="51">
        <f>SUM(11520,3500,2800,4520,3270,2000,6000,2000,4500,2000,3540,6000,6000,7000,3500,2500,2000,13500,2000,1000,2000,3390,2000,7000,4000,3000)</f>
        <v>110540</v>
      </c>
      <c r="D28" s="52">
        <v>0</v>
      </c>
      <c r="E28" s="52">
        <f aca="true" t="shared" si="9" ref="E28:E33">D28*4.5017</f>
        <v>0</v>
      </c>
      <c r="F28" s="52">
        <f aca="true" t="shared" si="10" ref="F28:F33">C28*30%</f>
        <v>33162</v>
      </c>
      <c r="G28" s="52">
        <f aca="true" t="shared" si="11" ref="G28:G33">F28*4.2201</f>
        <v>139946.95620000002</v>
      </c>
      <c r="H28" s="52">
        <f aca="true" t="shared" si="12" ref="H28:H33">C28*70%</f>
        <v>77378</v>
      </c>
      <c r="I28" s="52">
        <f aca="true" t="shared" si="13" ref="I28:I33">H28*4.6212</f>
        <v>357579.2136</v>
      </c>
      <c r="J28" s="31" t="s">
        <v>24</v>
      </c>
    </row>
    <row r="29" spans="1:10" ht="30" customHeight="1">
      <c r="A29" s="36" t="s">
        <v>8</v>
      </c>
      <c r="B29" s="45" t="s">
        <v>45</v>
      </c>
      <c r="C29" s="51">
        <f>SUM(16300,1500,3000,6700,3000,1000)</f>
        <v>31500</v>
      </c>
      <c r="D29" s="52">
        <v>0</v>
      </c>
      <c r="E29" s="52">
        <f t="shared" si="9"/>
        <v>0</v>
      </c>
      <c r="F29" s="52">
        <f t="shared" si="10"/>
        <v>9450</v>
      </c>
      <c r="G29" s="52">
        <f t="shared" si="11"/>
        <v>39879.94500000001</v>
      </c>
      <c r="H29" s="52">
        <f t="shared" si="12"/>
        <v>22050</v>
      </c>
      <c r="I29" s="52">
        <f t="shared" si="13"/>
        <v>101897.46</v>
      </c>
      <c r="J29" s="31" t="s">
        <v>22</v>
      </c>
    </row>
    <row r="30" spans="1:10" ht="24" customHeight="1">
      <c r="A30" s="36" t="s">
        <v>12</v>
      </c>
      <c r="B30" s="45" t="s">
        <v>45</v>
      </c>
      <c r="C30" s="51">
        <v>54000</v>
      </c>
      <c r="D30" s="52">
        <v>0</v>
      </c>
      <c r="E30" s="52">
        <f t="shared" si="9"/>
        <v>0</v>
      </c>
      <c r="F30" s="52">
        <f t="shared" si="10"/>
        <v>16200</v>
      </c>
      <c r="G30" s="52">
        <f t="shared" si="11"/>
        <v>68365.62000000001</v>
      </c>
      <c r="H30" s="52">
        <f t="shared" si="12"/>
        <v>37800</v>
      </c>
      <c r="I30" s="52">
        <f t="shared" si="13"/>
        <v>174681.36</v>
      </c>
      <c r="J30" s="31" t="s">
        <v>22</v>
      </c>
    </row>
    <row r="31" spans="1:10" ht="25.5">
      <c r="A31" s="36" t="s">
        <v>15</v>
      </c>
      <c r="B31" s="45" t="s">
        <v>45</v>
      </c>
      <c r="C31" s="51">
        <f>SUM(3400,2200,5580,2700,3750,2700,2900,3800,4320,3000,2580,3000,2600,2800,2250,4320,5900,7550,4000,5012,13180,2200,5780,4750,4850,17450,4320)</f>
        <v>126892</v>
      </c>
      <c r="D31" s="52">
        <v>0</v>
      </c>
      <c r="E31" s="52">
        <f t="shared" si="9"/>
        <v>0</v>
      </c>
      <c r="F31" s="52">
        <f t="shared" si="10"/>
        <v>38067.6</v>
      </c>
      <c r="G31" s="52">
        <f t="shared" si="11"/>
        <v>160649.07876</v>
      </c>
      <c r="H31" s="52">
        <f t="shared" si="12"/>
        <v>88824.4</v>
      </c>
      <c r="I31" s="52">
        <f t="shared" si="13"/>
        <v>410475.31727999996</v>
      </c>
      <c r="J31" s="31" t="s">
        <v>25</v>
      </c>
    </row>
    <row r="32" spans="1:10" ht="39" customHeight="1">
      <c r="A32" s="36" t="s">
        <v>13</v>
      </c>
      <c r="B32" s="45" t="s">
        <v>45</v>
      </c>
      <c r="C32" s="51">
        <f>SUM(2000,2000,2000,4000,4450,4000,4000,2500,9550,9600)</f>
        <v>44100</v>
      </c>
      <c r="D32" s="52">
        <v>0</v>
      </c>
      <c r="E32" s="52">
        <f t="shared" si="9"/>
        <v>0</v>
      </c>
      <c r="F32" s="52">
        <f t="shared" si="10"/>
        <v>13230</v>
      </c>
      <c r="G32" s="52">
        <f t="shared" si="11"/>
        <v>55831.923</v>
      </c>
      <c r="H32" s="52">
        <f t="shared" si="12"/>
        <v>30869.999999999996</v>
      </c>
      <c r="I32" s="52">
        <f t="shared" si="13"/>
        <v>142656.444</v>
      </c>
      <c r="J32" s="31" t="s">
        <v>32</v>
      </c>
    </row>
    <row r="33" spans="1:10" ht="25.5">
      <c r="A33" s="25" t="s">
        <v>39</v>
      </c>
      <c r="B33" s="45" t="s">
        <v>45</v>
      </c>
      <c r="C33" s="52">
        <f>SUM(16000,15860)</f>
        <v>31860</v>
      </c>
      <c r="D33" s="52">
        <v>0</v>
      </c>
      <c r="E33" s="52">
        <f t="shared" si="9"/>
        <v>0</v>
      </c>
      <c r="F33" s="52">
        <f t="shared" si="10"/>
        <v>9558</v>
      </c>
      <c r="G33" s="52">
        <f t="shared" si="11"/>
        <v>40335.715800000005</v>
      </c>
      <c r="H33" s="52">
        <f t="shared" si="12"/>
        <v>22302</v>
      </c>
      <c r="I33" s="52">
        <f t="shared" si="13"/>
        <v>103062.0024</v>
      </c>
      <c r="J33" s="25" t="s">
        <v>46</v>
      </c>
    </row>
    <row r="34" spans="1:10" s="19" customFormat="1" ht="23.25" customHeight="1">
      <c r="A34" s="39" t="s">
        <v>54</v>
      </c>
      <c r="B34" s="47"/>
      <c r="C34" s="54">
        <f aca="true" t="shared" si="14" ref="C34:I34">SUM(C35:C36)</f>
        <v>525000</v>
      </c>
      <c r="D34" s="55">
        <f t="shared" si="14"/>
        <v>1608</v>
      </c>
      <c r="E34" s="56">
        <f t="shared" si="14"/>
        <v>6449.688</v>
      </c>
      <c r="F34" s="56">
        <f t="shared" si="14"/>
        <v>231250</v>
      </c>
      <c r="G34" s="56">
        <f t="shared" si="14"/>
        <v>975898.125</v>
      </c>
      <c r="H34" s="56">
        <f t="shared" si="14"/>
        <v>292142</v>
      </c>
      <c r="I34" s="56">
        <f t="shared" si="14"/>
        <v>1350046.6104000001</v>
      </c>
      <c r="J34" s="43"/>
    </row>
    <row r="35" spans="1:10" ht="25.5">
      <c r="A35" s="36" t="s">
        <v>6</v>
      </c>
      <c r="B35" s="45" t="s">
        <v>49</v>
      </c>
      <c r="C35" s="51">
        <v>262500</v>
      </c>
      <c r="D35" s="52">
        <v>1348</v>
      </c>
      <c r="E35" s="52">
        <f>D35*4.011</f>
        <v>5406.828</v>
      </c>
      <c r="F35" s="52">
        <v>131250</v>
      </c>
      <c r="G35" s="52">
        <f>F35*4.2201</f>
        <v>553888.125</v>
      </c>
      <c r="H35" s="52">
        <v>129902</v>
      </c>
      <c r="I35" s="50">
        <f>H35*4.6212</f>
        <v>600303.1224</v>
      </c>
      <c r="J35" s="31" t="s">
        <v>20</v>
      </c>
    </row>
    <row r="36" spans="1:10" ht="30" customHeight="1">
      <c r="A36" s="25" t="s">
        <v>7</v>
      </c>
      <c r="B36" s="45" t="s">
        <v>50</v>
      </c>
      <c r="C36" s="52">
        <v>262500</v>
      </c>
      <c r="D36" s="52">
        <v>260</v>
      </c>
      <c r="E36" s="52">
        <f>D36*4.011</f>
        <v>1042.8600000000001</v>
      </c>
      <c r="F36" s="52">
        <v>100000</v>
      </c>
      <c r="G36" s="52">
        <f>F36*4.2201</f>
        <v>422010.00000000006</v>
      </c>
      <c r="H36" s="52">
        <v>162240</v>
      </c>
      <c r="I36" s="50">
        <f>H36*4.6212</f>
        <v>749743.488</v>
      </c>
      <c r="J36" s="25" t="s">
        <v>21</v>
      </c>
    </row>
    <row r="37" spans="1:10" s="20" customFormat="1" ht="36.75" customHeight="1">
      <c r="A37" s="23" t="s">
        <v>18</v>
      </c>
      <c r="B37" s="44"/>
      <c r="C37" s="50">
        <v>168680</v>
      </c>
      <c r="D37" s="50">
        <v>0</v>
      </c>
      <c r="E37" s="50">
        <v>0</v>
      </c>
      <c r="F37" s="50">
        <v>168680</v>
      </c>
      <c r="G37" s="52">
        <f>F37*4.2201</f>
        <v>711846.4680000001</v>
      </c>
      <c r="H37" s="50">
        <v>0</v>
      </c>
      <c r="I37" s="50">
        <f>H37*4.6212</f>
        <v>0</v>
      </c>
      <c r="J37" s="25" t="s">
        <v>32</v>
      </c>
    </row>
    <row r="38" spans="1:10" s="20" customFormat="1" ht="38.25" customHeight="1">
      <c r="A38" s="23" t="s">
        <v>37</v>
      </c>
      <c r="B38" s="44"/>
      <c r="C38" s="50">
        <v>168680</v>
      </c>
      <c r="D38" s="50">
        <v>0</v>
      </c>
      <c r="E38" s="50">
        <v>0</v>
      </c>
      <c r="F38" s="50">
        <v>84340</v>
      </c>
      <c r="G38" s="52">
        <f>F38*4.2201</f>
        <v>355923.23400000005</v>
      </c>
      <c r="H38" s="50">
        <v>84340</v>
      </c>
      <c r="I38" s="50">
        <f>H38*4.6212</f>
        <v>389752.008</v>
      </c>
      <c r="J38" s="25" t="s">
        <v>32</v>
      </c>
    </row>
    <row r="39" spans="1:10" s="20" customFormat="1" ht="12.75">
      <c r="A39" s="13" t="s">
        <v>33</v>
      </c>
      <c r="B39" s="48"/>
      <c r="C39" s="57">
        <f aca="true" t="shared" si="15" ref="C39:I39">SUM(C37:C38,C27,C17,C9,C34)</f>
        <v>1758542</v>
      </c>
      <c r="D39" s="58">
        <f t="shared" si="15"/>
        <v>160523.367</v>
      </c>
      <c r="E39" s="58">
        <f t="shared" si="15"/>
        <v>643859.225037</v>
      </c>
      <c r="F39" s="58">
        <f t="shared" si="15"/>
        <v>822018.1399999999</v>
      </c>
      <c r="G39" s="58">
        <f t="shared" si="15"/>
        <v>3468998.7526140003</v>
      </c>
      <c r="H39" s="58">
        <f t="shared" si="15"/>
        <v>776001.51</v>
      </c>
      <c r="I39" s="58">
        <f t="shared" si="15"/>
        <v>3586058.1780120004</v>
      </c>
      <c r="J39" s="26"/>
    </row>
    <row r="40" spans="1:10" ht="12.75">
      <c r="A40" s="33"/>
      <c r="B40" s="11"/>
      <c r="C40" s="11"/>
      <c r="D40" s="16"/>
      <c r="E40" s="16"/>
      <c r="F40" s="16"/>
      <c r="G40" s="16"/>
      <c r="H40" s="16"/>
      <c r="I40" s="16"/>
      <c r="J40" s="33"/>
    </row>
    <row r="41" spans="1:10" ht="12.75">
      <c r="A41" s="59" t="s">
        <v>58</v>
      </c>
      <c r="B41" s="60"/>
      <c r="C41" s="61"/>
      <c r="D41" s="62"/>
      <c r="E41" s="62"/>
      <c r="F41" s="62"/>
      <c r="G41" s="62"/>
      <c r="H41" s="62"/>
      <c r="I41" s="16"/>
      <c r="J41" s="33"/>
    </row>
    <row r="42" spans="1:10" ht="12.75">
      <c r="A42" s="59" t="s">
        <v>60</v>
      </c>
      <c r="B42" s="60"/>
      <c r="C42" s="61"/>
      <c r="D42" s="62"/>
      <c r="E42" s="62"/>
      <c r="F42" s="62"/>
      <c r="G42" s="62"/>
      <c r="H42" s="62"/>
      <c r="I42" s="16"/>
      <c r="J42" s="33"/>
    </row>
    <row r="43" spans="1:10" ht="27.75" customHeight="1">
      <c r="A43" s="63" t="s">
        <v>62</v>
      </c>
      <c r="B43" s="63"/>
      <c r="C43" s="63"/>
      <c r="D43" s="63"/>
      <c r="E43" s="63"/>
      <c r="F43" s="63"/>
      <c r="G43" s="63"/>
      <c r="H43" s="63"/>
      <c r="I43" s="16"/>
      <c r="J43" s="33"/>
    </row>
    <row r="44" spans="1:10" ht="12.75">
      <c r="A44" s="33"/>
      <c r="B44" s="11"/>
      <c r="C44" s="11"/>
      <c r="D44" s="16"/>
      <c r="E44" s="16"/>
      <c r="F44" s="16"/>
      <c r="G44" s="16"/>
      <c r="H44" s="16"/>
      <c r="I44" s="16"/>
      <c r="J44" s="33"/>
    </row>
  </sheetData>
  <mergeCells count="7">
    <mergeCell ref="A43:H43"/>
    <mergeCell ref="A3:J3"/>
    <mergeCell ref="D7:E7"/>
    <mergeCell ref="F7:G7"/>
    <mergeCell ref="A5:J5"/>
    <mergeCell ref="H7:I7"/>
    <mergeCell ref="B7:B8"/>
  </mergeCells>
  <printOptions horizontalCentered="1"/>
  <pageMargins left="0.3937007874015748" right="0.3937007874015748" top="0.39" bottom="0.41" header="0.43" footer="0.22"/>
  <pageSetup horizontalDpi="300" verticalDpi="300" orientation="landscape" paperSize="9" r:id="rId1"/>
  <headerFooter alignWithMargins="0">
    <oddFooter>&amp;C&amp;8 3/&amp;P</oddFooter>
  </headerFooter>
  <rowBreaks count="2" manualBreakCount="2">
    <brk id="16" max="9" man="1"/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Kaźmierczak</dc:creator>
  <cp:keywords/>
  <dc:description/>
  <cp:lastModifiedBy>Elżbieta Bielińska</cp:lastModifiedBy>
  <cp:lastPrinted>2001-01-23T07:38:47Z</cp:lastPrinted>
  <dcterms:created xsi:type="dcterms:W3CDTF">1999-09-10T14:56:41Z</dcterms:created>
  <dcterms:modified xsi:type="dcterms:W3CDTF">2001-02-07T08:10:56Z</dcterms:modified>
  <cp:category/>
  <cp:version/>
  <cp:contentType/>
  <cp:contentStatus/>
</cp:coreProperties>
</file>